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calery/Desktop/Jumpstart/Web updates 09.07/"/>
    </mc:Choice>
  </mc:AlternateContent>
  <xr:revisionPtr revIDLastSave="0" documentId="8_{A46B6247-FD9D-0544-83AE-6B6741A83384}" xr6:coauthVersionLast="47" xr6:coauthVersionMax="47" xr10:uidLastSave="{00000000-0000-0000-0000-000000000000}"/>
  <bookViews>
    <workbookView xWindow="1520" yWindow="500" windowWidth="21920" windowHeight="17500" activeTab="3" xr2:uid="{3390B6AA-D14A-AE4F-8EF6-705553F0ED74}"/>
  </bookViews>
  <sheets>
    <sheet name="Acquisition-construction-costs" sheetId="3" r:id="rId1"/>
    <sheet name="Buy-and-hold" sheetId="1" r:id="rId2"/>
    <sheet name="Buy-and-sell" sheetId="2" r:id="rId3"/>
    <sheet name="Comparabl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C23" i="5"/>
  <c r="C7" i="1"/>
  <c r="C9" i="2"/>
  <c r="E13" i="5"/>
  <c r="C13" i="5"/>
  <c r="C24" i="5" l="1"/>
  <c r="D5" i="5" s="1"/>
  <c r="C14" i="5"/>
  <c r="C5" i="5" s="1"/>
  <c r="C13" i="3" l="1"/>
  <c r="C27" i="2"/>
  <c r="D32" i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D33" i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D34" i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D35" i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D37" i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D39" i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D40" i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C39" i="3"/>
  <c r="C40" i="3" s="1"/>
  <c r="C14" i="3"/>
  <c r="C21" i="1"/>
  <c r="C26" i="1" s="1"/>
  <c r="C27" i="1" l="1"/>
  <c r="C28" i="1"/>
  <c r="C29" i="2"/>
  <c r="C28" i="2"/>
  <c r="C44" i="3"/>
  <c r="C7" i="2"/>
  <c r="C3" i="1"/>
  <c r="C41" i="3"/>
  <c r="C8" i="2" s="1"/>
  <c r="D26" i="1"/>
  <c r="C30" i="2" l="1"/>
  <c r="C33" i="2" s="1"/>
  <c r="E26" i="1"/>
  <c r="D27" i="1"/>
  <c r="D28" i="1" s="1"/>
  <c r="F8" i="2"/>
  <c r="C15" i="2" s="1"/>
  <c r="C10" i="2" s="1"/>
  <c r="C45" i="3"/>
  <c r="C46" i="3" s="1"/>
  <c r="C4" i="1"/>
  <c r="F9" i="1" s="1"/>
  <c r="C12" i="1" s="1"/>
  <c r="C11" i="2" l="1"/>
  <c r="C12" i="2" s="1"/>
  <c r="C16" i="2" s="1"/>
  <c r="F26" i="1"/>
  <c r="E27" i="1"/>
  <c r="E28" i="1" s="1"/>
  <c r="C41" i="1"/>
  <c r="C44" i="1" s="1"/>
  <c r="C6" i="1"/>
  <c r="C18" i="2" l="1"/>
  <c r="C21" i="2" s="1"/>
  <c r="C22" i="2"/>
  <c r="C34" i="2"/>
  <c r="C35" i="2" s="1"/>
  <c r="C36" i="2" s="1"/>
  <c r="G26" i="1"/>
  <c r="F27" i="1"/>
  <c r="F28" i="1" s="1"/>
  <c r="C45" i="1"/>
  <c r="D45" i="1" s="1"/>
  <c r="D31" i="1"/>
  <c r="C5" i="1" l="1"/>
  <c r="C9" i="1" s="1"/>
  <c r="C23" i="2"/>
  <c r="H26" i="1"/>
  <c r="G27" i="1"/>
  <c r="G28" i="1" s="1"/>
  <c r="E31" i="1"/>
  <c r="D41" i="1"/>
  <c r="D44" i="1" s="1"/>
  <c r="D47" i="1" s="1"/>
  <c r="E45" i="1"/>
  <c r="C46" i="1"/>
  <c r="C47" i="1"/>
  <c r="C13" i="1" l="1"/>
  <c r="C15" i="1" s="1"/>
  <c r="D46" i="1"/>
  <c r="F31" i="1"/>
  <c r="E41" i="1"/>
  <c r="E44" i="1" s="1"/>
  <c r="E47" i="1" s="1"/>
  <c r="I26" i="1"/>
  <c r="H27" i="1"/>
  <c r="H28" i="1" s="1"/>
  <c r="F45" i="1"/>
  <c r="E46" i="1" l="1"/>
  <c r="I27" i="1"/>
  <c r="I28" i="1"/>
  <c r="J26" i="1"/>
  <c r="G31" i="1"/>
  <c r="F41" i="1"/>
  <c r="F44" i="1" s="1"/>
  <c r="F47" i="1" s="1"/>
  <c r="G45" i="1"/>
  <c r="F46" i="1" l="1"/>
  <c r="H31" i="1"/>
  <c r="G41" i="1"/>
  <c r="G44" i="1" s="1"/>
  <c r="G46" i="1" s="1"/>
  <c r="K26" i="1"/>
  <c r="J27" i="1"/>
  <c r="J28" i="1" s="1"/>
  <c r="H45" i="1"/>
  <c r="L26" i="1" l="1"/>
  <c r="K27" i="1"/>
  <c r="K28" i="1"/>
  <c r="H41" i="1"/>
  <c r="H44" i="1" s="1"/>
  <c r="H47" i="1" s="1"/>
  <c r="I31" i="1"/>
  <c r="G47" i="1"/>
  <c r="I45" i="1"/>
  <c r="J31" i="1" l="1"/>
  <c r="I41" i="1"/>
  <c r="I44" i="1" s="1"/>
  <c r="I47" i="1" s="1"/>
  <c r="H46" i="1"/>
  <c r="L27" i="1"/>
  <c r="L28" i="1" s="1"/>
  <c r="M26" i="1"/>
  <c r="J45" i="1"/>
  <c r="I46" i="1" l="1"/>
  <c r="M27" i="1"/>
  <c r="M28" i="1" s="1"/>
  <c r="N26" i="1"/>
  <c r="N27" i="1" s="1"/>
  <c r="N28" i="1" s="1"/>
  <c r="J41" i="1"/>
  <c r="J44" i="1" s="1"/>
  <c r="J46" i="1" s="1"/>
  <c r="K31" i="1"/>
  <c r="K45" i="1"/>
  <c r="J47" i="1" l="1"/>
  <c r="L31" i="1"/>
  <c r="K41" i="1"/>
  <c r="K44" i="1" s="1"/>
  <c r="K46" i="1" s="1"/>
  <c r="L45" i="1"/>
  <c r="K47" i="1" l="1"/>
  <c r="L41" i="1"/>
  <c r="L44" i="1" s="1"/>
  <c r="L47" i="1" s="1"/>
  <c r="M31" i="1"/>
  <c r="M45" i="1"/>
  <c r="L46" i="1" l="1"/>
  <c r="N31" i="1"/>
  <c r="N41" i="1" s="1"/>
  <c r="N44" i="1" s="1"/>
  <c r="M41" i="1"/>
  <c r="M44" i="1" s="1"/>
  <c r="M47" i="1" s="1"/>
  <c r="N45" i="1"/>
  <c r="M46" i="1" l="1"/>
  <c r="N47" i="1"/>
  <c r="N46" i="1"/>
</calcChain>
</file>

<file path=xl/sharedStrings.xml><?xml version="1.0" encoding="utf-8"?>
<sst xmlns="http://schemas.openxmlformats.org/spreadsheetml/2006/main" count="192" uniqueCount="137">
  <si>
    <t>Purchase Price</t>
  </si>
  <si>
    <t>BANK LOAN</t>
  </si>
  <si>
    <t>Amount</t>
  </si>
  <si>
    <t>Rate</t>
  </si>
  <si>
    <t>Term</t>
  </si>
  <si>
    <t>ASSUMPTIONS</t>
  </si>
  <si>
    <t>Construction Period</t>
  </si>
  <si>
    <t>Tenant 1</t>
  </si>
  <si>
    <t>Tenant 2</t>
  </si>
  <si>
    <t>Tenant 3</t>
  </si>
  <si>
    <t>OPERATING BUDGET</t>
  </si>
  <si>
    <t>REVENUE</t>
  </si>
  <si>
    <t>Effective Gross Income</t>
  </si>
  <si>
    <t>OPERATING EXPENSES</t>
  </si>
  <si>
    <t>Management Fees</t>
  </si>
  <si>
    <t>Insurance</t>
  </si>
  <si>
    <t>Real Estate Taxes</t>
  </si>
  <si>
    <t>Alarm Monitoring</t>
  </si>
  <si>
    <t>Repairs</t>
  </si>
  <si>
    <t>Trash Removal</t>
  </si>
  <si>
    <t>Lawn Care &amp; Snow Removal</t>
  </si>
  <si>
    <t>Water &amp; Sewer</t>
  </si>
  <si>
    <t>Gas &amp; Electric</t>
  </si>
  <si>
    <t>Rental License</t>
  </si>
  <si>
    <t xml:space="preserve">Total Operations Expenses </t>
  </si>
  <si>
    <t>PROFITS</t>
  </si>
  <si>
    <t>Net Operating Income</t>
  </si>
  <si>
    <t>Debt Service</t>
  </si>
  <si>
    <t>Net Cash Flow</t>
  </si>
  <si>
    <t>Debt Coverage Ratio</t>
  </si>
  <si>
    <t>RENTS (Monthly)</t>
  </si>
  <si>
    <t>Financing Costs</t>
  </si>
  <si>
    <t>Settlement Costs</t>
  </si>
  <si>
    <t>Holding Costs</t>
  </si>
  <si>
    <t>Other</t>
  </si>
  <si>
    <t>TOTAL</t>
  </si>
  <si>
    <t>COMPARABLES</t>
  </si>
  <si>
    <t>Subject Property</t>
  </si>
  <si>
    <t>SF</t>
  </si>
  <si>
    <t>BR/BA</t>
  </si>
  <si>
    <t>Sale Value</t>
  </si>
  <si>
    <t>Sale Price</t>
  </si>
  <si>
    <t>Date Sold</t>
  </si>
  <si>
    <t>Rental Value</t>
  </si>
  <si>
    <t>Rent</t>
  </si>
  <si>
    <t>Date Rented</t>
  </si>
  <si>
    <t>Zillow estimate for property</t>
  </si>
  <si>
    <t>Rent-o-meter for property</t>
  </si>
  <si>
    <t>JUMPSTART LOAN</t>
  </si>
  <si>
    <t>GROSS SALES REVENUE</t>
  </si>
  <si>
    <t>Expected Listing Price</t>
  </si>
  <si>
    <t>Realistic Sales Price</t>
  </si>
  <si>
    <t>Financing Fee</t>
  </si>
  <si>
    <t>Legal Fees</t>
  </si>
  <si>
    <t>NET PROFIT ON SALE</t>
  </si>
  <si>
    <t>Selling Price</t>
  </si>
  <si>
    <t>Sales Commission</t>
  </si>
  <si>
    <t>Expenses</t>
  </si>
  <si>
    <t>Interest on Loan</t>
  </si>
  <si>
    <t>Net Margin on Sale</t>
  </si>
  <si>
    <t>CONSTRUCTION COSTS</t>
  </si>
  <si>
    <t>Demolition</t>
  </si>
  <si>
    <t>Roof</t>
  </si>
  <si>
    <t>Electric</t>
  </si>
  <si>
    <t>Plumbing</t>
  </si>
  <si>
    <t>HVAC</t>
  </si>
  <si>
    <t>Masonry</t>
  </si>
  <si>
    <t>Windows</t>
  </si>
  <si>
    <t>Carpentry</t>
  </si>
  <si>
    <t>Drywall</t>
  </si>
  <si>
    <t>Insulation</t>
  </si>
  <si>
    <t>Wall Prep</t>
  </si>
  <si>
    <t>Kitchen(s)</t>
  </si>
  <si>
    <t>Bath(s)</t>
  </si>
  <si>
    <t>Painting</t>
  </si>
  <si>
    <t>Flooring</t>
  </si>
  <si>
    <t>Landscaping</t>
  </si>
  <si>
    <t>Exterior</t>
  </si>
  <si>
    <t>Permits</t>
  </si>
  <si>
    <t>Subtotal</t>
  </si>
  <si>
    <t>Contingency</t>
  </si>
  <si>
    <t xml:space="preserve">TOTAL </t>
  </si>
  <si>
    <t>Max. Loan</t>
  </si>
  <si>
    <t>USES OF FUNDS</t>
  </si>
  <si>
    <t>Loan Fees</t>
  </si>
  <si>
    <t>SOURCES OF FUNDS</t>
  </si>
  <si>
    <t>Developer's Equity</t>
  </si>
  <si>
    <t xml:space="preserve">Other </t>
  </si>
  <si>
    <t>months</t>
  </si>
  <si>
    <t>Construction</t>
  </si>
  <si>
    <t>Lease-up</t>
  </si>
  <si>
    <t>LTC</t>
  </si>
  <si>
    <t xml:space="preserve">2021 (Mo.) </t>
  </si>
  <si>
    <t>2021 (Yr.)</t>
  </si>
  <si>
    <t>Income</t>
  </si>
  <si>
    <t>Vacancy (10%)</t>
  </si>
  <si>
    <t>Jumpstart Loan</t>
  </si>
  <si>
    <t>Acquisition Costs</t>
  </si>
  <si>
    <t>INITIAL ACQUISITION COSTS</t>
  </si>
  <si>
    <t>Construction Costs</t>
  </si>
  <si>
    <t>HOLDING COSTS</t>
  </si>
  <si>
    <t>SOURCES &amp; USES</t>
  </si>
  <si>
    <t>Total Sources</t>
  </si>
  <si>
    <t>Total Uses</t>
  </si>
  <si>
    <t>Fire Protection/Security</t>
  </si>
  <si>
    <t>Appliances</t>
  </si>
  <si>
    <t>ACQUISITION &amp; CONSTRUCTION USES</t>
  </si>
  <si>
    <t>FINANCING COSTS</t>
  </si>
  <si>
    <t>Utilities</t>
  </si>
  <si>
    <t>Taxes</t>
  </si>
  <si>
    <t>yrs</t>
  </si>
  <si>
    <t>Marketing Period</t>
  </si>
  <si>
    <t>Project Uses</t>
  </si>
  <si>
    <t>Gross Profit</t>
  </si>
  <si>
    <t>(Gap) Surplus</t>
  </si>
  <si>
    <t>ANNUAL INFLATION FACTORS</t>
  </si>
  <si>
    <t>Net Profit (Loss)</t>
  </si>
  <si>
    <t>Architect Fees</t>
  </si>
  <si>
    <t>recommended</t>
  </si>
  <si>
    <t>Notes</t>
  </si>
  <si>
    <t>Comparable 1 Address</t>
  </si>
  <si>
    <t>Comparable 2 Address</t>
  </si>
  <si>
    <t>Comparable 3 Address</t>
  </si>
  <si>
    <t>Comparable 4 Address</t>
  </si>
  <si>
    <t>Average</t>
  </si>
  <si>
    <t>Average per SF</t>
  </si>
  <si>
    <t>https://www.rentometer.com</t>
  </si>
  <si>
    <t>https://www.zillow.com</t>
  </si>
  <si>
    <t xml:space="preserve">Insurance </t>
  </si>
  <si>
    <t xml:space="preserve">Utilities </t>
  </si>
  <si>
    <t xml:space="preserve">Taxes </t>
  </si>
  <si>
    <t>per mo</t>
  </si>
  <si>
    <t>Derived Sales</t>
  </si>
  <si>
    <t>Derived Rent</t>
  </si>
  <si>
    <t>estimated</t>
  </si>
  <si>
    <t>n/a</t>
  </si>
  <si>
    <t xml:space="preserve">This number is an estimate. Actual legal fees will be determined at closing.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</si>
</sst>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9" fontId="2" fillId="0" borderId="0" xfId="0" applyNumberFormat="1" applyFont="1"/>
    <xf numFmtId="9" fontId="2" fillId="0" borderId="0" xfId="2" applyFont="1"/>
    <xf numFmtId="10" fontId="2" fillId="0" borderId="0" xfId="0" applyNumberFormat="1" applyFont="1"/>
    <xf numFmtId="0" fontId="2" fillId="0" borderId="0" xfId="0" applyFont="1" applyBorder="1"/>
    <xf numFmtId="164" fontId="3" fillId="0" borderId="0" xfId="2" applyNumberFormat="1" applyFont="1"/>
    <xf numFmtId="44" fontId="2" fillId="0" borderId="0" xfId="1" applyFont="1"/>
    <xf numFmtId="44" fontId="3" fillId="0" borderId="0" xfId="1" applyFont="1"/>
    <xf numFmtId="44" fontId="2" fillId="0" borderId="0" xfId="1" applyFont="1" applyBorder="1"/>
    <xf numFmtId="44" fontId="2" fillId="0" borderId="1" xfId="1" applyFont="1" applyBorder="1"/>
    <xf numFmtId="2" fontId="2" fillId="0" borderId="0" xfId="1" applyNumberFormat="1" applyFont="1"/>
    <xf numFmtId="164" fontId="2" fillId="0" borderId="0" xfId="0" applyNumberFormat="1" applyFont="1"/>
    <xf numFmtId="44" fontId="2" fillId="2" borderId="0" xfId="1" applyFont="1" applyFill="1"/>
    <xf numFmtId="44" fontId="2" fillId="2" borderId="1" xfId="1" applyFont="1" applyFill="1" applyBorder="1"/>
    <xf numFmtId="0" fontId="2" fillId="2" borderId="0" xfId="0" applyFont="1" applyFill="1"/>
    <xf numFmtId="44" fontId="2" fillId="0" borderId="0" xfId="1" applyFont="1" applyFill="1"/>
    <xf numFmtId="44" fontId="2" fillId="0" borderId="0" xfId="0" applyNumberFormat="1" applyFont="1"/>
    <xf numFmtId="49" fontId="2" fillId="0" borderId="1" xfId="0" applyNumberFormat="1" applyFont="1" applyBorder="1"/>
    <xf numFmtId="0" fontId="5" fillId="0" borderId="0" xfId="3" applyFont="1"/>
    <xf numFmtId="49" fontId="2" fillId="0" borderId="0" xfId="0" applyNumberFormat="1" applyFont="1" applyBorder="1"/>
    <xf numFmtId="44" fontId="3" fillId="0" borderId="0" xfId="0" applyNumberFormat="1" applyFont="1"/>
    <xf numFmtId="44" fontId="2" fillId="0" borderId="0" xfId="0" applyNumberFormat="1" applyFont="1" applyFill="1"/>
    <xf numFmtId="164" fontId="2" fillId="2" borderId="0" xfId="0" applyNumberFormat="1" applyFont="1" applyFill="1"/>
    <xf numFmtId="9" fontId="2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4" fontId="2" fillId="2" borderId="0" xfId="0" applyNumberFormat="1" applyFont="1" applyFill="1"/>
    <xf numFmtId="49" fontId="2" fillId="2" borderId="0" xfId="0" applyNumberFormat="1" applyFont="1" applyFill="1"/>
    <xf numFmtId="0" fontId="2" fillId="2" borderId="1" xfId="0" applyFont="1" applyFill="1" applyBorder="1"/>
    <xf numFmtId="14" fontId="2" fillId="2" borderId="1" xfId="0" applyNumberFormat="1" applyFont="1" applyFill="1" applyBorder="1"/>
    <xf numFmtId="49" fontId="2" fillId="2" borderId="1" xfId="0" applyNumberFormat="1" applyFont="1" applyFill="1" applyBorder="1"/>
    <xf numFmtId="44" fontId="2" fillId="2" borderId="0" xfId="1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0</xdr:row>
      <xdr:rowOff>0</xdr:rowOff>
    </xdr:from>
    <xdr:to>
      <xdr:col>2</xdr:col>
      <xdr:colOff>830950</xdr:colOff>
      <xdr:row>8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53CDF-08FB-AF48-9EE1-88A3AE79E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199" y="0"/>
          <a:ext cx="2374001" cy="151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illow.com/" TargetMode="External"/><Relationship Id="rId1" Type="http://schemas.openxmlformats.org/officeDocument/2006/relationships/hyperlink" Target="https://www.rentome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6F5B1-21E2-BB43-91A7-5B9FE7D59A97}">
  <dimension ref="B11:E46"/>
  <sheetViews>
    <sheetView topLeftCell="A40" zoomScale="150" zoomScaleNormal="150" workbookViewId="0">
      <selection activeCell="E20" sqref="E20"/>
    </sheetView>
  </sheetViews>
  <sheetFormatPr baseColWidth="10" defaultColWidth="10.83203125" defaultRowHeight="14" x14ac:dyDescent="0.15"/>
  <cols>
    <col min="1" max="1" width="10.83203125" style="1"/>
    <col min="2" max="2" width="20.5" style="1" bestFit="1" customWidth="1"/>
    <col min="3" max="3" width="12.5" style="1" bestFit="1" customWidth="1"/>
    <col min="4" max="16384" width="10.83203125" style="1"/>
  </cols>
  <sheetData>
    <row r="11" spans="2:5" x14ac:dyDescent="0.15">
      <c r="B11" s="2" t="s">
        <v>98</v>
      </c>
    </row>
    <row r="12" spans="2:5" x14ac:dyDescent="0.15">
      <c r="B12" s="1" t="s">
        <v>0</v>
      </c>
      <c r="C12" s="15"/>
    </row>
    <row r="13" spans="2:5" x14ac:dyDescent="0.15">
      <c r="B13" s="3" t="s">
        <v>32</v>
      </c>
      <c r="C13" s="12">
        <f>C12*D13</f>
        <v>0</v>
      </c>
      <c r="D13" s="25">
        <v>0.05</v>
      </c>
      <c r="E13" s="1" t="s">
        <v>134</v>
      </c>
    </row>
    <row r="14" spans="2:5" x14ac:dyDescent="0.15">
      <c r="B14" s="2" t="s">
        <v>35</v>
      </c>
      <c r="C14" s="10">
        <f>C12+C13</f>
        <v>0</v>
      </c>
    </row>
    <row r="16" spans="2:5" x14ac:dyDescent="0.15">
      <c r="B16" s="2" t="s">
        <v>60</v>
      </c>
    </row>
    <row r="17" spans="2:4" x14ac:dyDescent="0.15">
      <c r="B17" s="1" t="s">
        <v>61</v>
      </c>
      <c r="C17" s="15"/>
      <c r="D17" s="19"/>
    </row>
    <row r="18" spans="2:4" x14ac:dyDescent="0.15">
      <c r="B18" s="1" t="s">
        <v>62</v>
      </c>
      <c r="C18" s="15"/>
    </row>
    <row r="19" spans="2:4" x14ac:dyDescent="0.15">
      <c r="B19" s="1" t="s">
        <v>63</v>
      </c>
      <c r="C19" s="15"/>
    </row>
    <row r="20" spans="2:4" x14ac:dyDescent="0.15">
      <c r="B20" s="1" t="s">
        <v>104</v>
      </c>
      <c r="C20" s="15"/>
    </row>
    <row r="21" spans="2:4" x14ac:dyDescent="0.15">
      <c r="B21" s="1" t="s">
        <v>64</v>
      </c>
      <c r="C21" s="15"/>
    </row>
    <row r="22" spans="2:4" x14ac:dyDescent="0.15">
      <c r="B22" s="1" t="s">
        <v>65</v>
      </c>
      <c r="C22" s="15"/>
    </row>
    <row r="23" spans="2:4" x14ac:dyDescent="0.15">
      <c r="B23" s="1" t="s">
        <v>66</v>
      </c>
      <c r="C23" s="15"/>
    </row>
    <row r="24" spans="2:4" x14ac:dyDescent="0.15">
      <c r="B24" s="1" t="s">
        <v>67</v>
      </c>
      <c r="C24" s="15"/>
    </row>
    <row r="25" spans="2:4" x14ac:dyDescent="0.15">
      <c r="B25" s="1" t="s">
        <v>68</v>
      </c>
      <c r="C25" s="15"/>
    </row>
    <row r="26" spans="2:4" x14ac:dyDescent="0.15">
      <c r="B26" s="1" t="s">
        <v>69</v>
      </c>
      <c r="C26" s="15"/>
    </row>
    <row r="27" spans="2:4" x14ac:dyDescent="0.15">
      <c r="B27" s="1" t="s">
        <v>70</v>
      </c>
      <c r="C27" s="15"/>
    </row>
    <row r="28" spans="2:4" x14ac:dyDescent="0.15">
      <c r="B28" s="1" t="s">
        <v>71</v>
      </c>
      <c r="C28" s="15"/>
    </row>
    <row r="29" spans="2:4" x14ac:dyDescent="0.15">
      <c r="B29" s="1" t="s">
        <v>72</v>
      </c>
      <c r="C29" s="15"/>
    </row>
    <row r="30" spans="2:4" x14ac:dyDescent="0.15">
      <c r="B30" s="1" t="s">
        <v>73</v>
      </c>
      <c r="C30" s="15"/>
    </row>
    <row r="31" spans="2:4" x14ac:dyDescent="0.15">
      <c r="B31" s="1" t="s">
        <v>105</v>
      </c>
      <c r="C31" s="15"/>
    </row>
    <row r="32" spans="2:4" x14ac:dyDescent="0.15">
      <c r="B32" s="1" t="s">
        <v>74</v>
      </c>
      <c r="C32" s="15"/>
      <c r="D32" s="19"/>
    </row>
    <row r="33" spans="2:5" x14ac:dyDescent="0.15">
      <c r="B33" s="1" t="s">
        <v>75</v>
      </c>
      <c r="C33" s="15"/>
    </row>
    <row r="34" spans="2:5" x14ac:dyDescent="0.15">
      <c r="B34" s="1" t="s">
        <v>76</v>
      </c>
      <c r="C34" s="15"/>
    </row>
    <row r="35" spans="2:5" x14ac:dyDescent="0.15">
      <c r="B35" s="1" t="s">
        <v>77</v>
      </c>
      <c r="C35" s="15"/>
    </row>
    <row r="36" spans="2:5" x14ac:dyDescent="0.15">
      <c r="B36" s="1" t="s">
        <v>117</v>
      </c>
      <c r="C36" s="15"/>
    </row>
    <row r="37" spans="2:5" x14ac:dyDescent="0.15">
      <c r="B37" s="1" t="s">
        <v>78</v>
      </c>
      <c r="C37" s="15"/>
    </row>
    <row r="38" spans="2:5" x14ac:dyDescent="0.15">
      <c r="B38" s="3" t="s">
        <v>34</v>
      </c>
      <c r="C38" s="16"/>
    </row>
    <row r="39" spans="2:5" x14ac:dyDescent="0.15">
      <c r="B39" s="2" t="s">
        <v>79</v>
      </c>
      <c r="C39" s="10">
        <f>SUM(C17:C38)</f>
        <v>0</v>
      </c>
    </row>
    <row r="40" spans="2:5" x14ac:dyDescent="0.15">
      <c r="B40" s="3" t="s">
        <v>80</v>
      </c>
      <c r="C40" s="12">
        <f>ROUNDUP(C39*D40,0)</f>
        <v>0</v>
      </c>
      <c r="D40" s="26">
        <v>0.15</v>
      </c>
      <c r="E40" s="1" t="s">
        <v>118</v>
      </c>
    </row>
    <row r="41" spans="2:5" x14ac:dyDescent="0.15">
      <c r="B41" s="2" t="s">
        <v>81</v>
      </c>
      <c r="C41" s="10">
        <f>C39+C40</f>
        <v>0</v>
      </c>
    </row>
    <row r="43" spans="2:5" x14ac:dyDescent="0.15">
      <c r="B43" s="2" t="s">
        <v>106</v>
      </c>
    </row>
    <row r="44" spans="2:5" x14ac:dyDescent="0.15">
      <c r="B44" s="1" t="s">
        <v>97</v>
      </c>
      <c r="C44" s="9">
        <f>C14</f>
        <v>0</v>
      </c>
    </row>
    <row r="45" spans="2:5" x14ac:dyDescent="0.15">
      <c r="B45" s="3" t="s">
        <v>99</v>
      </c>
      <c r="C45" s="12">
        <f>C41</f>
        <v>0</v>
      </c>
    </row>
    <row r="46" spans="2:5" x14ac:dyDescent="0.15">
      <c r="B46" s="2" t="s">
        <v>35</v>
      </c>
      <c r="C46" s="10">
        <f>C44+C45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422B-171E-8541-846B-92FE53AE030D}">
  <dimension ref="B2:N47"/>
  <sheetViews>
    <sheetView zoomScale="130" zoomScaleNormal="130" workbookViewId="0">
      <selection activeCell="G15" sqref="G15"/>
    </sheetView>
  </sheetViews>
  <sheetFormatPr baseColWidth="10" defaultColWidth="10.83203125" defaultRowHeight="14" x14ac:dyDescent="0.15"/>
  <cols>
    <col min="1" max="1" width="10.83203125" style="1"/>
    <col min="2" max="2" width="24.5" style="1" bestFit="1" customWidth="1"/>
    <col min="3" max="14" width="12.83203125" style="1" customWidth="1"/>
    <col min="15" max="16384" width="10.83203125" style="1"/>
  </cols>
  <sheetData>
    <row r="2" spans="2:11" x14ac:dyDescent="0.15">
      <c r="B2" s="2" t="s">
        <v>83</v>
      </c>
      <c r="E2" s="2" t="s">
        <v>5</v>
      </c>
      <c r="I2" s="2" t="s">
        <v>115</v>
      </c>
    </row>
    <row r="3" spans="2:11" x14ac:dyDescent="0.15">
      <c r="B3" s="1" t="s">
        <v>97</v>
      </c>
      <c r="C3" s="9">
        <f>'Acquisition-construction-costs'!C14</f>
        <v>0</v>
      </c>
      <c r="E3" s="1" t="s">
        <v>89</v>
      </c>
      <c r="F3" s="17"/>
      <c r="G3" s="1" t="s">
        <v>88</v>
      </c>
      <c r="I3" s="1" t="s">
        <v>94</v>
      </c>
      <c r="J3" s="14">
        <v>0.02</v>
      </c>
      <c r="K3" s="1" t="s">
        <v>118</v>
      </c>
    </row>
    <row r="4" spans="2:11" x14ac:dyDescent="0.15">
      <c r="B4" s="1" t="s">
        <v>99</v>
      </c>
      <c r="C4" s="9">
        <f>'Acquisition-construction-costs'!C41</f>
        <v>0</v>
      </c>
      <c r="E4" s="1" t="s">
        <v>90</v>
      </c>
      <c r="F4" s="17"/>
      <c r="G4" s="1" t="s">
        <v>88</v>
      </c>
      <c r="I4" s="1" t="s">
        <v>57</v>
      </c>
      <c r="J4" s="14">
        <v>0.03</v>
      </c>
      <c r="K4" s="1" t="s">
        <v>118</v>
      </c>
    </row>
    <row r="5" spans="2:11" x14ac:dyDescent="0.15">
      <c r="B5" s="1" t="s">
        <v>31</v>
      </c>
      <c r="C5" s="9">
        <f>F14+F15</f>
        <v>1000</v>
      </c>
    </row>
    <row r="6" spans="2:11" x14ac:dyDescent="0.15">
      <c r="B6" s="1" t="s">
        <v>58</v>
      </c>
      <c r="C6" s="9">
        <f>C12/2*F10*(F3+F4)/12</f>
        <v>0</v>
      </c>
    </row>
    <row r="7" spans="2:11" x14ac:dyDescent="0.15">
      <c r="B7" s="1" t="s">
        <v>33</v>
      </c>
      <c r="C7" s="9">
        <f>(F18+F19+F20)*(F3+F4)</f>
        <v>0</v>
      </c>
      <c r="E7" s="2" t="s">
        <v>1</v>
      </c>
    </row>
    <row r="8" spans="2:11" x14ac:dyDescent="0.15">
      <c r="B8" s="3" t="s">
        <v>34</v>
      </c>
      <c r="C8" s="12">
        <v>0</v>
      </c>
      <c r="E8" s="1" t="s">
        <v>91</v>
      </c>
      <c r="F8" s="5">
        <v>0.85</v>
      </c>
    </row>
    <row r="9" spans="2:11" x14ac:dyDescent="0.15">
      <c r="B9" s="2" t="s">
        <v>35</v>
      </c>
      <c r="C9" s="10">
        <f>SUM(C3:C8)</f>
        <v>1000</v>
      </c>
      <c r="E9" s="1" t="s">
        <v>82</v>
      </c>
      <c r="F9" s="9">
        <f>ROUNDDOWN((C3+C4)*F8,0)</f>
        <v>0</v>
      </c>
    </row>
    <row r="10" spans="2:11" x14ac:dyDescent="0.15">
      <c r="E10" s="1" t="s">
        <v>3</v>
      </c>
      <c r="F10" s="6">
        <v>5.5E-2</v>
      </c>
    </row>
    <row r="11" spans="2:11" x14ac:dyDescent="0.15">
      <c r="B11" s="2" t="s">
        <v>85</v>
      </c>
      <c r="E11" s="1" t="s">
        <v>4</v>
      </c>
      <c r="F11" s="1">
        <v>25</v>
      </c>
      <c r="G11" s="1" t="s">
        <v>110</v>
      </c>
    </row>
    <row r="12" spans="2:11" x14ac:dyDescent="0.15">
      <c r="B12" s="1" t="s">
        <v>96</v>
      </c>
      <c r="C12" s="9">
        <f>F9</f>
        <v>0</v>
      </c>
      <c r="F12" s="4"/>
    </row>
    <row r="13" spans="2:11" x14ac:dyDescent="0.15">
      <c r="B13" s="1" t="s">
        <v>86</v>
      </c>
      <c r="C13" s="18">
        <f>C9-C12-C14</f>
        <v>1000</v>
      </c>
      <c r="E13" s="2" t="s">
        <v>107</v>
      </c>
    </row>
    <row r="14" spans="2:11" x14ac:dyDescent="0.15">
      <c r="B14" s="3" t="s">
        <v>87</v>
      </c>
      <c r="C14" s="16">
        <v>0</v>
      </c>
      <c r="E14" s="1" t="s">
        <v>84</v>
      </c>
      <c r="F14" s="9">
        <v>0</v>
      </c>
      <c r="G14" s="14" t="s">
        <v>135</v>
      </c>
    </row>
    <row r="15" spans="2:11" x14ac:dyDescent="0.15">
      <c r="B15" s="2" t="s">
        <v>35</v>
      </c>
      <c r="C15" s="10">
        <f>SUM(C12:C14)</f>
        <v>1000</v>
      </c>
      <c r="E15" s="1" t="s">
        <v>53</v>
      </c>
      <c r="F15" s="9">
        <v>1000</v>
      </c>
      <c r="G15" s="1" t="s">
        <v>136</v>
      </c>
    </row>
    <row r="17" spans="2:14" x14ac:dyDescent="0.15">
      <c r="B17" s="2" t="s">
        <v>30</v>
      </c>
      <c r="E17" s="2" t="s">
        <v>100</v>
      </c>
    </row>
    <row r="18" spans="2:14" x14ac:dyDescent="0.15">
      <c r="B18" s="1" t="s">
        <v>7</v>
      </c>
      <c r="C18" s="15"/>
      <c r="E18" s="1" t="s">
        <v>15</v>
      </c>
      <c r="F18" s="15"/>
      <c r="G18" s="1" t="s">
        <v>131</v>
      </c>
    </row>
    <row r="19" spans="2:14" x14ac:dyDescent="0.15">
      <c r="B19" s="1" t="s">
        <v>8</v>
      </c>
      <c r="C19" s="15"/>
      <c r="E19" s="1" t="s">
        <v>108</v>
      </c>
      <c r="F19" s="15"/>
      <c r="G19" s="1" t="s">
        <v>131</v>
      </c>
    </row>
    <row r="20" spans="2:14" x14ac:dyDescent="0.15">
      <c r="B20" s="3" t="s">
        <v>9</v>
      </c>
      <c r="C20" s="16"/>
      <c r="E20" s="1" t="s">
        <v>109</v>
      </c>
      <c r="F20" s="15"/>
      <c r="G20" s="1" t="s">
        <v>131</v>
      </c>
    </row>
    <row r="21" spans="2:14" x14ac:dyDescent="0.15">
      <c r="B21" s="2" t="s">
        <v>35</v>
      </c>
      <c r="C21" s="10">
        <f>SUM(C18:C20)</f>
        <v>0</v>
      </c>
    </row>
    <row r="23" spans="2:14" x14ac:dyDescent="0.15">
      <c r="B23" s="2" t="s">
        <v>10</v>
      </c>
    </row>
    <row r="24" spans="2:14" x14ac:dyDescent="0.15">
      <c r="C24" s="2" t="s">
        <v>92</v>
      </c>
      <c r="D24" s="2" t="s">
        <v>93</v>
      </c>
      <c r="E24" s="2">
        <v>2022</v>
      </c>
      <c r="F24" s="2">
        <v>2023</v>
      </c>
      <c r="G24" s="2">
        <v>2024</v>
      </c>
      <c r="H24" s="2">
        <v>2025</v>
      </c>
      <c r="I24" s="2">
        <v>2026</v>
      </c>
      <c r="J24" s="2">
        <v>2027</v>
      </c>
      <c r="K24" s="2">
        <v>2028</v>
      </c>
      <c r="L24" s="2">
        <v>2029</v>
      </c>
      <c r="M24" s="2">
        <v>2030</v>
      </c>
      <c r="N24" s="2">
        <v>2031</v>
      </c>
    </row>
    <row r="25" spans="2:14" x14ac:dyDescent="0.15">
      <c r="B25" s="2" t="s">
        <v>11</v>
      </c>
    </row>
    <row r="26" spans="2:14" x14ac:dyDescent="0.15">
      <c r="B26" s="1" t="s">
        <v>94</v>
      </c>
      <c r="C26" s="9">
        <f>C21</f>
        <v>0</v>
      </c>
      <c r="D26" s="9">
        <f>C26*12</f>
        <v>0</v>
      </c>
      <c r="E26" s="9">
        <f>D26*(1+$J$3)</f>
        <v>0</v>
      </c>
      <c r="F26" s="9">
        <f t="shared" ref="F26:N26" si="0">E26*(1+$J$3)</f>
        <v>0</v>
      </c>
      <c r="G26" s="9">
        <f t="shared" si="0"/>
        <v>0</v>
      </c>
      <c r="H26" s="9">
        <f t="shared" si="0"/>
        <v>0</v>
      </c>
      <c r="I26" s="9">
        <f t="shared" si="0"/>
        <v>0</v>
      </c>
      <c r="J26" s="9">
        <f t="shared" si="0"/>
        <v>0</v>
      </c>
      <c r="K26" s="9">
        <f t="shared" si="0"/>
        <v>0</v>
      </c>
      <c r="L26" s="9">
        <f t="shared" si="0"/>
        <v>0</v>
      </c>
      <c r="M26" s="9">
        <f t="shared" si="0"/>
        <v>0</v>
      </c>
      <c r="N26" s="9">
        <f t="shared" si="0"/>
        <v>0</v>
      </c>
    </row>
    <row r="27" spans="2:14" x14ac:dyDescent="0.15">
      <c r="B27" s="3" t="s">
        <v>95</v>
      </c>
      <c r="C27" s="12">
        <f>-0.1*C26</f>
        <v>0</v>
      </c>
      <c r="D27" s="12">
        <f>-D26*0.1</f>
        <v>0</v>
      </c>
      <c r="E27" s="12">
        <f>-E26*0.1</f>
        <v>0</v>
      </c>
      <c r="F27" s="12">
        <f t="shared" ref="F27:N27" si="1">-F26*0.1</f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</row>
    <row r="28" spans="2:14" x14ac:dyDescent="0.15">
      <c r="B28" s="2" t="s">
        <v>12</v>
      </c>
      <c r="C28" s="10">
        <f>C26+C27</f>
        <v>0</v>
      </c>
      <c r="D28" s="10">
        <f>SUM(D26:D27)</f>
        <v>0</v>
      </c>
      <c r="E28" s="10">
        <f>SUM(E26:E27)</f>
        <v>0</v>
      </c>
      <c r="F28" s="10">
        <f>SUM(F26:F27)</f>
        <v>0</v>
      </c>
      <c r="G28" s="10">
        <f t="shared" ref="G28:N28" si="2">SUM(G26:G27)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2"/>
        <v>0</v>
      </c>
    </row>
    <row r="30" spans="2:14" x14ac:dyDescent="0.15">
      <c r="B30" s="2" t="s">
        <v>13</v>
      </c>
    </row>
    <row r="31" spans="2:14" x14ac:dyDescent="0.15">
      <c r="B31" s="1" t="s">
        <v>14</v>
      </c>
      <c r="C31" s="15"/>
      <c r="D31" s="9">
        <f>C31*12</f>
        <v>0</v>
      </c>
      <c r="E31" s="9">
        <f>D31*(1+$J$3)</f>
        <v>0</v>
      </c>
      <c r="F31" s="9">
        <f t="shared" ref="F31:N31" si="3">E31*(1+$J$3)</f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</row>
    <row r="32" spans="2:14" x14ac:dyDescent="0.15">
      <c r="B32" s="1" t="s">
        <v>15</v>
      </c>
      <c r="C32" s="15"/>
      <c r="D32" s="9">
        <f t="shared" ref="D32:D40" si="4">C32*12</f>
        <v>0</v>
      </c>
      <c r="E32" s="9">
        <f t="shared" ref="E32:N40" si="5">D32*(1+$J$3)</f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</row>
    <row r="33" spans="2:14" x14ac:dyDescent="0.15">
      <c r="B33" s="1" t="s">
        <v>16</v>
      </c>
      <c r="C33" s="15"/>
      <c r="D33" s="9">
        <f t="shared" si="4"/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</row>
    <row r="34" spans="2:14" x14ac:dyDescent="0.15">
      <c r="B34" s="1" t="s">
        <v>17</v>
      </c>
      <c r="C34" s="15"/>
      <c r="D34" s="9">
        <f t="shared" si="4"/>
        <v>0</v>
      </c>
      <c r="E34" s="9">
        <f t="shared" si="5"/>
        <v>0</v>
      </c>
      <c r="F34" s="9">
        <f t="shared" si="5"/>
        <v>0</v>
      </c>
      <c r="G34" s="9">
        <f t="shared" si="5"/>
        <v>0</v>
      </c>
      <c r="H34" s="9">
        <f t="shared" si="5"/>
        <v>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0</v>
      </c>
      <c r="M34" s="9">
        <f t="shared" si="5"/>
        <v>0</v>
      </c>
      <c r="N34" s="9">
        <f t="shared" si="5"/>
        <v>0</v>
      </c>
    </row>
    <row r="35" spans="2:14" x14ac:dyDescent="0.15">
      <c r="B35" s="1" t="s">
        <v>18</v>
      </c>
      <c r="C35" s="15"/>
      <c r="D35" s="9">
        <f t="shared" si="4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</row>
    <row r="36" spans="2:14" x14ac:dyDescent="0.15">
      <c r="B36" s="1" t="s">
        <v>19</v>
      </c>
      <c r="C36" s="15"/>
      <c r="D36" s="9">
        <f t="shared" si="4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</row>
    <row r="37" spans="2:14" x14ac:dyDescent="0.15">
      <c r="B37" s="1" t="s">
        <v>20</v>
      </c>
      <c r="C37" s="15"/>
      <c r="D37" s="9">
        <f t="shared" si="4"/>
        <v>0</v>
      </c>
      <c r="E37" s="9">
        <f t="shared" si="5"/>
        <v>0</v>
      </c>
      <c r="F37" s="9">
        <f t="shared" si="5"/>
        <v>0</v>
      </c>
      <c r="G37" s="9">
        <f t="shared" si="5"/>
        <v>0</v>
      </c>
      <c r="H37" s="9">
        <f t="shared" si="5"/>
        <v>0</v>
      </c>
      <c r="I37" s="9">
        <f t="shared" si="5"/>
        <v>0</v>
      </c>
      <c r="J37" s="9">
        <f t="shared" si="5"/>
        <v>0</v>
      </c>
      <c r="K37" s="9">
        <f t="shared" si="5"/>
        <v>0</v>
      </c>
      <c r="L37" s="9">
        <f t="shared" si="5"/>
        <v>0</v>
      </c>
      <c r="M37" s="9">
        <f t="shared" si="5"/>
        <v>0</v>
      </c>
      <c r="N37" s="9">
        <f t="shared" si="5"/>
        <v>0</v>
      </c>
    </row>
    <row r="38" spans="2:14" x14ac:dyDescent="0.15">
      <c r="B38" s="1" t="s">
        <v>21</v>
      </c>
      <c r="C38" s="15"/>
      <c r="D38" s="9">
        <f t="shared" si="4"/>
        <v>0</v>
      </c>
      <c r="E38" s="9">
        <f t="shared" si="5"/>
        <v>0</v>
      </c>
      <c r="F38" s="9">
        <f t="shared" si="5"/>
        <v>0</v>
      </c>
      <c r="G38" s="9">
        <f t="shared" si="5"/>
        <v>0</v>
      </c>
      <c r="H38" s="9">
        <f t="shared" si="5"/>
        <v>0</v>
      </c>
      <c r="I38" s="9">
        <f t="shared" si="5"/>
        <v>0</v>
      </c>
      <c r="J38" s="9">
        <f t="shared" si="5"/>
        <v>0</v>
      </c>
      <c r="K38" s="9">
        <f t="shared" si="5"/>
        <v>0</v>
      </c>
      <c r="L38" s="9">
        <f t="shared" si="5"/>
        <v>0</v>
      </c>
      <c r="M38" s="9">
        <f t="shared" si="5"/>
        <v>0</v>
      </c>
      <c r="N38" s="9">
        <f t="shared" si="5"/>
        <v>0</v>
      </c>
    </row>
    <row r="39" spans="2:14" x14ac:dyDescent="0.15">
      <c r="B39" s="1" t="s">
        <v>22</v>
      </c>
      <c r="C39" s="15"/>
      <c r="D39" s="9">
        <f t="shared" si="4"/>
        <v>0</v>
      </c>
      <c r="E39" s="9">
        <f t="shared" si="5"/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</row>
    <row r="40" spans="2:14" x14ac:dyDescent="0.15">
      <c r="B40" s="3" t="s">
        <v>23</v>
      </c>
      <c r="C40" s="16"/>
      <c r="D40" s="12">
        <f t="shared" si="4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</row>
    <row r="41" spans="2:14" x14ac:dyDescent="0.15">
      <c r="B41" s="2" t="s">
        <v>24</v>
      </c>
      <c r="C41" s="10">
        <f>SUM(C31:C40)</f>
        <v>0</v>
      </c>
      <c r="D41" s="10">
        <f>SUM(D31:D40)</f>
        <v>0</v>
      </c>
      <c r="E41" s="10">
        <f>SUM(E31:E40)</f>
        <v>0</v>
      </c>
      <c r="F41" s="10">
        <f>SUM(F31:F40)</f>
        <v>0</v>
      </c>
      <c r="G41" s="10">
        <f t="shared" ref="G41:N41" si="6">SUM(G31:G40)</f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  <c r="K41" s="10">
        <f t="shared" si="6"/>
        <v>0</v>
      </c>
      <c r="L41" s="10">
        <f t="shared" si="6"/>
        <v>0</v>
      </c>
      <c r="M41" s="10">
        <f t="shared" si="6"/>
        <v>0</v>
      </c>
      <c r="N41" s="10">
        <f t="shared" si="6"/>
        <v>0</v>
      </c>
    </row>
    <row r="43" spans="2:14" x14ac:dyDescent="0.15">
      <c r="B43" s="2" t="s">
        <v>25</v>
      </c>
    </row>
    <row r="44" spans="2:14" x14ac:dyDescent="0.15">
      <c r="B44" s="1" t="s">
        <v>26</v>
      </c>
      <c r="C44" s="9">
        <f>C28-C41</f>
        <v>0</v>
      </c>
      <c r="D44" s="9">
        <f>D28-D41</f>
        <v>0</v>
      </c>
      <c r="E44" s="9">
        <f>E28-E41</f>
        <v>0</v>
      </c>
      <c r="F44" s="9">
        <f t="shared" ref="F44:N44" si="7">F28-F41</f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0</v>
      </c>
    </row>
    <row r="45" spans="2:14" x14ac:dyDescent="0.15">
      <c r="B45" s="3" t="s">
        <v>27</v>
      </c>
      <c r="C45" s="12">
        <f>ROUNDUP(PMT(F10/12,F11*12,C12,0,0),0)</f>
        <v>0</v>
      </c>
      <c r="D45" s="12">
        <f>C45*12</f>
        <v>0</v>
      </c>
      <c r="E45" s="12">
        <f>D45</f>
        <v>0</v>
      </c>
      <c r="F45" s="12">
        <f t="shared" ref="F45:N45" si="8">E45</f>
        <v>0</v>
      </c>
      <c r="G45" s="12">
        <f t="shared" si="8"/>
        <v>0</v>
      </c>
      <c r="H45" s="12">
        <f t="shared" si="8"/>
        <v>0</v>
      </c>
      <c r="I45" s="12">
        <f t="shared" si="8"/>
        <v>0</v>
      </c>
      <c r="J45" s="12">
        <f t="shared" si="8"/>
        <v>0</v>
      </c>
      <c r="K45" s="12">
        <f t="shared" si="8"/>
        <v>0</v>
      </c>
      <c r="L45" s="12">
        <f t="shared" si="8"/>
        <v>0</v>
      </c>
      <c r="M45" s="12">
        <f t="shared" si="8"/>
        <v>0</v>
      </c>
      <c r="N45" s="12">
        <f t="shared" si="8"/>
        <v>0</v>
      </c>
    </row>
    <row r="46" spans="2:14" x14ac:dyDescent="0.15">
      <c r="B46" s="2" t="s">
        <v>28</v>
      </c>
      <c r="C46" s="10">
        <f>C44+C45</f>
        <v>0</v>
      </c>
      <c r="D46" s="10">
        <f>D44+D45</f>
        <v>0</v>
      </c>
      <c r="E46" s="10">
        <f t="shared" ref="E46:N46" si="9">E44+E45</f>
        <v>0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0">
        <f t="shared" si="9"/>
        <v>0</v>
      </c>
      <c r="M46" s="10">
        <f t="shared" si="9"/>
        <v>0</v>
      </c>
      <c r="N46" s="10">
        <f t="shared" si="9"/>
        <v>0</v>
      </c>
    </row>
    <row r="47" spans="2:14" x14ac:dyDescent="0.15">
      <c r="B47" s="1" t="s">
        <v>29</v>
      </c>
      <c r="C47" s="13" t="e">
        <f>C44/-C45</f>
        <v>#DIV/0!</v>
      </c>
      <c r="D47" s="13" t="e">
        <f>D44/-D45</f>
        <v>#DIV/0!</v>
      </c>
      <c r="E47" s="13" t="e">
        <f t="shared" ref="E47:N47" si="10">E44/-E45</f>
        <v>#DIV/0!</v>
      </c>
      <c r="F47" s="13" t="e">
        <f t="shared" si="10"/>
        <v>#DIV/0!</v>
      </c>
      <c r="G47" s="13" t="e">
        <f t="shared" si="10"/>
        <v>#DIV/0!</v>
      </c>
      <c r="H47" s="13" t="e">
        <f t="shared" si="10"/>
        <v>#DIV/0!</v>
      </c>
      <c r="I47" s="13" t="e">
        <f t="shared" si="10"/>
        <v>#DIV/0!</v>
      </c>
      <c r="J47" s="13" t="e">
        <f t="shared" si="10"/>
        <v>#DIV/0!</v>
      </c>
      <c r="K47" s="13" t="e">
        <f t="shared" si="10"/>
        <v>#DIV/0!</v>
      </c>
      <c r="L47" s="13" t="e">
        <f t="shared" si="10"/>
        <v>#DIV/0!</v>
      </c>
      <c r="M47" s="13" t="e">
        <f t="shared" si="10"/>
        <v>#DIV/0!</v>
      </c>
      <c r="N47" s="13" t="e">
        <f t="shared" si="10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1C85-8E71-8243-B184-A1AF1CDED287}">
  <dimension ref="B2:H36"/>
  <sheetViews>
    <sheetView zoomScale="140" zoomScaleNormal="140" workbookViewId="0">
      <selection activeCell="F13" sqref="F13"/>
    </sheetView>
  </sheetViews>
  <sheetFormatPr baseColWidth="10" defaultColWidth="10.83203125" defaultRowHeight="14" x14ac:dyDescent="0.15"/>
  <cols>
    <col min="1" max="1" width="10.83203125" style="1"/>
    <col min="2" max="2" width="21.1640625" style="1" bestFit="1" customWidth="1"/>
    <col min="3" max="3" width="12.5" style="1" bestFit="1" customWidth="1"/>
    <col min="4" max="4" width="10.83203125" style="1"/>
    <col min="5" max="5" width="23" style="1" bestFit="1" customWidth="1"/>
    <col min="6" max="6" width="12.5" style="1" bestFit="1" customWidth="1"/>
    <col min="7" max="16384" width="10.83203125" style="1"/>
  </cols>
  <sheetData>
    <row r="2" spans="2:8" x14ac:dyDescent="0.15">
      <c r="B2" s="2" t="s">
        <v>49</v>
      </c>
    </row>
    <row r="3" spans="2:8" x14ac:dyDescent="0.15">
      <c r="B3" s="1" t="s">
        <v>50</v>
      </c>
      <c r="C3" s="15"/>
    </row>
    <row r="4" spans="2:8" x14ac:dyDescent="0.15">
      <c r="B4" s="1" t="s">
        <v>51</v>
      </c>
      <c r="C4" s="15"/>
    </row>
    <row r="6" spans="2:8" x14ac:dyDescent="0.15">
      <c r="B6" s="2" t="s">
        <v>83</v>
      </c>
      <c r="E6" s="2" t="s">
        <v>48</v>
      </c>
      <c r="H6" s="2"/>
    </row>
    <row r="7" spans="2:8" x14ac:dyDescent="0.15">
      <c r="B7" s="1" t="s">
        <v>97</v>
      </c>
      <c r="C7" s="9">
        <f>'Acquisition-construction-costs'!C14</f>
        <v>0</v>
      </c>
      <c r="E7" s="1" t="s">
        <v>91</v>
      </c>
      <c r="F7" s="4">
        <v>0.85</v>
      </c>
    </row>
    <row r="8" spans="2:8" x14ac:dyDescent="0.15">
      <c r="B8" s="1" t="s">
        <v>99</v>
      </c>
      <c r="C8" s="9">
        <f>'Acquisition-construction-costs'!C41</f>
        <v>0</v>
      </c>
      <c r="E8" s="1" t="s">
        <v>2</v>
      </c>
      <c r="F8" s="9">
        <f>ROUNDDOWN((C7+C8)*F7,0)</f>
        <v>0</v>
      </c>
    </row>
    <row r="9" spans="2:8" x14ac:dyDescent="0.15">
      <c r="B9" s="1" t="s">
        <v>33</v>
      </c>
      <c r="C9" s="9">
        <f>(F19+F20+F21)*(F15+F16)</f>
        <v>0</v>
      </c>
      <c r="E9" s="1" t="s">
        <v>3</v>
      </c>
      <c r="F9" s="6">
        <v>5.5E-2</v>
      </c>
    </row>
    <row r="10" spans="2:8" x14ac:dyDescent="0.15">
      <c r="B10" s="1" t="s">
        <v>58</v>
      </c>
      <c r="C10" s="9">
        <f>C15/2*F9*(F15+F16)/12</f>
        <v>0</v>
      </c>
      <c r="E10" s="1" t="s">
        <v>4</v>
      </c>
      <c r="F10" s="1">
        <v>18</v>
      </c>
    </row>
    <row r="11" spans="2:8" x14ac:dyDescent="0.15">
      <c r="B11" s="3" t="s">
        <v>31</v>
      </c>
      <c r="C11" s="12">
        <f>F11+F12</f>
        <v>1000</v>
      </c>
      <c r="E11" s="1" t="s">
        <v>52</v>
      </c>
      <c r="F11" s="9">
        <v>0</v>
      </c>
      <c r="G11" s="14" t="s">
        <v>135</v>
      </c>
    </row>
    <row r="12" spans="2:8" x14ac:dyDescent="0.15">
      <c r="B12" s="2" t="s">
        <v>35</v>
      </c>
      <c r="C12" s="10">
        <f>SUM(C7:C11)</f>
        <v>1000</v>
      </c>
      <c r="E12" s="1" t="s">
        <v>53</v>
      </c>
      <c r="F12" s="9">
        <v>1000</v>
      </c>
      <c r="G12" s="1" t="s">
        <v>136</v>
      </c>
    </row>
    <row r="13" spans="2:8" x14ac:dyDescent="0.15">
      <c r="B13" s="2"/>
    </row>
    <row r="14" spans="2:8" x14ac:dyDescent="0.15">
      <c r="B14" s="2" t="s">
        <v>85</v>
      </c>
      <c r="E14" s="2" t="s">
        <v>5</v>
      </c>
    </row>
    <row r="15" spans="2:8" x14ac:dyDescent="0.15">
      <c r="B15" s="1" t="s">
        <v>96</v>
      </c>
      <c r="C15" s="9">
        <f>F8</f>
        <v>0</v>
      </c>
      <c r="E15" s="1" t="s">
        <v>6</v>
      </c>
      <c r="F15" s="17"/>
      <c r="G15" s="1" t="s">
        <v>88</v>
      </c>
    </row>
    <row r="16" spans="2:8" x14ac:dyDescent="0.15">
      <c r="B16" s="1" t="s">
        <v>86</v>
      </c>
      <c r="C16" s="18">
        <f>C12-C15-C17</f>
        <v>1000</v>
      </c>
      <c r="E16" s="1" t="s">
        <v>111</v>
      </c>
      <c r="F16" s="17"/>
      <c r="G16" s="1" t="s">
        <v>88</v>
      </c>
    </row>
    <row r="17" spans="2:8" x14ac:dyDescent="0.15">
      <c r="B17" s="3" t="s">
        <v>34</v>
      </c>
      <c r="C17" s="16">
        <v>0</v>
      </c>
    </row>
    <row r="18" spans="2:8" x14ac:dyDescent="0.15">
      <c r="B18" s="2" t="s">
        <v>35</v>
      </c>
      <c r="C18" s="10">
        <f>SUM(C15:C17)</f>
        <v>1000</v>
      </c>
      <c r="E18" s="2" t="s">
        <v>100</v>
      </c>
      <c r="H18" s="2"/>
    </row>
    <row r="19" spans="2:8" x14ac:dyDescent="0.15">
      <c r="E19" s="1" t="s">
        <v>128</v>
      </c>
      <c r="F19" s="15"/>
      <c r="G19" s="1" t="s">
        <v>131</v>
      </c>
    </row>
    <row r="20" spans="2:8" x14ac:dyDescent="0.15">
      <c r="B20" s="2" t="s">
        <v>101</v>
      </c>
      <c r="E20" s="1" t="s">
        <v>129</v>
      </c>
      <c r="F20" s="15"/>
      <c r="G20" s="1" t="s">
        <v>131</v>
      </c>
    </row>
    <row r="21" spans="2:8" x14ac:dyDescent="0.15">
      <c r="B21" s="1" t="s">
        <v>102</v>
      </c>
      <c r="C21" s="9">
        <f>C18</f>
        <v>1000</v>
      </c>
      <c r="E21" s="1" t="s">
        <v>130</v>
      </c>
      <c r="F21" s="15"/>
      <c r="G21" s="1" t="s">
        <v>131</v>
      </c>
    </row>
    <row r="22" spans="2:8" x14ac:dyDescent="0.15">
      <c r="B22" s="3" t="s">
        <v>103</v>
      </c>
      <c r="C22" s="12">
        <f>C12</f>
        <v>1000</v>
      </c>
    </row>
    <row r="23" spans="2:8" x14ac:dyDescent="0.15">
      <c r="B23" s="2" t="s">
        <v>114</v>
      </c>
      <c r="C23" s="10">
        <f>C21-C22</f>
        <v>0</v>
      </c>
    </row>
    <row r="26" spans="2:8" x14ac:dyDescent="0.15">
      <c r="B26" s="2" t="s">
        <v>54</v>
      </c>
    </row>
    <row r="27" spans="2:8" x14ac:dyDescent="0.15">
      <c r="B27" s="1" t="s">
        <v>55</v>
      </c>
      <c r="C27" s="9">
        <f>C4</f>
        <v>0</v>
      </c>
    </row>
    <row r="28" spans="2:8" x14ac:dyDescent="0.15">
      <c r="B28" s="1" t="s">
        <v>32</v>
      </c>
      <c r="C28" s="9">
        <f>D28*C27</f>
        <v>0</v>
      </c>
      <c r="D28" s="25">
        <v>0.04</v>
      </c>
      <c r="E28" s="1" t="s">
        <v>134</v>
      </c>
    </row>
    <row r="29" spans="2:8" x14ac:dyDescent="0.15">
      <c r="B29" s="7" t="s">
        <v>56</v>
      </c>
      <c r="C29" s="11">
        <f>D29*C27</f>
        <v>0</v>
      </c>
      <c r="D29" s="25">
        <v>0.06</v>
      </c>
      <c r="E29" s="1" t="s">
        <v>134</v>
      </c>
    </row>
    <row r="30" spans="2:8" x14ac:dyDescent="0.15">
      <c r="B30" s="2" t="s">
        <v>113</v>
      </c>
      <c r="C30" s="10">
        <f>C27-C28-C29</f>
        <v>0</v>
      </c>
    </row>
    <row r="32" spans="2:8" x14ac:dyDescent="0.15">
      <c r="B32" s="2" t="s">
        <v>25</v>
      </c>
    </row>
    <row r="33" spans="2:3" x14ac:dyDescent="0.15">
      <c r="B33" s="1" t="s">
        <v>113</v>
      </c>
      <c r="C33" s="9">
        <f>C30</f>
        <v>0</v>
      </c>
    </row>
    <row r="34" spans="2:3" x14ac:dyDescent="0.15">
      <c r="B34" s="1" t="s">
        <v>112</v>
      </c>
      <c r="C34" s="9">
        <f>C12</f>
        <v>1000</v>
      </c>
    </row>
    <row r="35" spans="2:3" x14ac:dyDescent="0.15">
      <c r="B35" s="2" t="s">
        <v>116</v>
      </c>
      <c r="C35" s="10">
        <f>C33-C34</f>
        <v>-1000</v>
      </c>
    </row>
    <row r="36" spans="2:3" x14ac:dyDescent="0.15">
      <c r="B36" s="2" t="s">
        <v>59</v>
      </c>
      <c r="C36" s="8" t="e">
        <f>C35/C30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EE93-CD19-BC45-8DAB-5C3BEDA61AB7}">
  <dimension ref="B2:G24"/>
  <sheetViews>
    <sheetView tabSelected="1" zoomScale="120" zoomScaleNormal="120" workbookViewId="0">
      <selection activeCell="F29" sqref="F29"/>
    </sheetView>
  </sheetViews>
  <sheetFormatPr baseColWidth="10" defaultColWidth="10.83203125" defaultRowHeight="14" x14ac:dyDescent="0.15"/>
  <cols>
    <col min="1" max="1" width="10.83203125" style="1"/>
    <col min="2" max="2" width="22.6640625" style="1" bestFit="1" customWidth="1"/>
    <col min="3" max="6" width="14.5" style="1" customWidth="1"/>
    <col min="7" max="16384" width="10.83203125" style="1"/>
  </cols>
  <sheetData>
    <row r="2" spans="2:7" x14ac:dyDescent="0.15">
      <c r="B2" s="2" t="s">
        <v>36</v>
      </c>
    </row>
    <row r="4" spans="2:7" x14ac:dyDescent="0.15">
      <c r="B4" s="2" t="s">
        <v>37</v>
      </c>
      <c r="C4" s="2" t="s">
        <v>132</v>
      </c>
      <c r="D4" s="2" t="s">
        <v>133</v>
      </c>
      <c r="E4" s="2" t="s">
        <v>38</v>
      </c>
      <c r="F4" s="2" t="s">
        <v>39</v>
      </c>
    </row>
    <row r="5" spans="2:7" x14ac:dyDescent="0.15">
      <c r="B5" s="17"/>
      <c r="C5" s="24" t="e">
        <f>(E5*C14)</f>
        <v>#DIV/0!</v>
      </c>
      <c r="D5" s="24" t="e">
        <f>C24*E5</f>
        <v>#DIV/0!</v>
      </c>
      <c r="E5" s="17"/>
      <c r="F5" s="27"/>
    </row>
    <row r="8" spans="2:7" x14ac:dyDescent="0.15">
      <c r="B8" s="2" t="s">
        <v>40</v>
      </c>
      <c r="C8" s="2" t="s">
        <v>41</v>
      </c>
      <c r="D8" s="2" t="s">
        <v>42</v>
      </c>
      <c r="E8" s="2" t="s">
        <v>38</v>
      </c>
      <c r="F8" s="2" t="s">
        <v>39</v>
      </c>
      <c r="G8" s="2" t="s">
        <v>119</v>
      </c>
    </row>
    <row r="9" spans="2:7" x14ac:dyDescent="0.15">
      <c r="B9" s="17" t="s">
        <v>120</v>
      </c>
      <c r="C9" s="15"/>
      <c r="D9" s="28"/>
      <c r="E9" s="17"/>
      <c r="F9" s="29"/>
      <c r="G9" s="17"/>
    </row>
    <row r="10" spans="2:7" x14ac:dyDescent="0.15">
      <c r="B10" s="17" t="s">
        <v>121</v>
      </c>
      <c r="C10" s="15"/>
      <c r="D10" s="28"/>
      <c r="E10" s="17"/>
      <c r="F10" s="29"/>
      <c r="G10" s="17"/>
    </row>
    <row r="11" spans="2:7" x14ac:dyDescent="0.15">
      <c r="B11" s="17" t="s">
        <v>122</v>
      </c>
      <c r="C11" s="15"/>
      <c r="D11" s="28"/>
      <c r="E11" s="17"/>
      <c r="F11" s="29"/>
      <c r="G11" s="17"/>
    </row>
    <row r="12" spans="2:7" x14ac:dyDescent="0.15">
      <c r="B12" s="30" t="s">
        <v>123</v>
      </c>
      <c r="C12" s="16"/>
      <c r="D12" s="31"/>
      <c r="E12" s="30"/>
      <c r="F12" s="32"/>
      <c r="G12" s="17"/>
    </row>
    <row r="13" spans="2:7" x14ac:dyDescent="0.15">
      <c r="B13" s="2" t="s">
        <v>124</v>
      </c>
      <c r="C13" s="10" t="e">
        <f>AVERAGE(C9:C12)</f>
        <v>#DIV/0!</v>
      </c>
      <c r="D13" s="2"/>
      <c r="E13" s="2" t="e">
        <f>AVERAGE(E9:E12)</f>
        <v>#DIV/0!</v>
      </c>
    </row>
    <row r="14" spans="2:7" x14ac:dyDescent="0.15">
      <c r="B14" s="2" t="s">
        <v>125</v>
      </c>
      <c r="C14" s="10" t="e">
        <f>C13/E13</f>
        <v>#DIV/0!</v>
      </c>
      <c r="D14" s="2"/>
      <c r="E14" s="2"/>
    </row>
    <row r="16" spans="2:7" x14ac:dyDescent="0.15">
      <c r="B16" s="2" t="s">
        <v>43</v>
      </c>
      <c r="C16" s="2" t="s">
        <v>44</v>
      </c>
      <c r="D16" s="2" t="s">
        <v>45</v>
      </c>
      <c r="E16" s="2" t="s">
        <v>38</v>
      </c>
      <c r="F16" s="2" t="s">
        <v>39</v>
      </c>
      <c r="G16" s="2" t="s">
        <v>119</v>
      </c>
    </row>
    <row r="17" spans="2:7" x14ac:dyDescent="0.15">
      <c r="B17" s="17" t="s">
        <v>120</v>
      </c>
      <c r="C17" s="15"/>
      <c r="D17" s="28"/>
      <c r="E17" s="17"/>
      <c r="F17" s="29"/>
      <c r="G17" s="17"/>
    </row>
    <row r="18" spans="2:7" x14ac:dyDescent="0.15">
      <c r="B18" s="17" t="s">
        <v>121</v>
      </c>
      <c r="C18" s="15"/>
      <c r="D18" s="28"/>
      <c r="E18" s="17"/>
      <c r="F18" s="29"/>
      <c r="G18" s="17"/>
    </row>
    <row r="19" spans="2:7" x14ac:dyDescent="0.15">
      <c r="B19" s="17" t="s">
        <v>122</v>
      </c>
      <c r="C19" s="15"/>
      <c r="D19" s="28"/>
      <c r="E19" s="17"/>
      <c r="F19" s="29"/>
      <c r="G19" s="17"/>
    </row>
    <row r="20" spans="2:7" x14ac:dyDescent="0.15">
      <c r="B20" s="30" t="s">
        <v>123</v>
      </c>
      <c r="C20" s="16"/>
      <c r="D20" s="31"/>
      <c r="E20" s="30"/>
      <c r="F20" s="32"/>
      <c r="G20" s="17"/>
    </row>
    <row r="21" spans="2:7" x14ac:dyDescent="0.15">
      <c r="B21" s="7" t="s">
        <v>46</v>
      </c>
      <c r="C21" s="33"/>
      <c r="D21" s="7"/>
      <c r="E21" s="7"/>
      <c r="F21" s="22"/>
      <c r="G21" s="21" t="s">
        <v>127</v>
      </c>
    </row>
    <row r="22" spans="2:7" x14ac:dyDescent="0.15">
      <c r="B22" s="3" t="s">
        <v>47</v>
      </c>
      <c r="C22" s="16"/>
      <c r="D22" s="3"/>
      <c r="E22" s="3"/>
      <c r="F22" s="20"/>
      <c r="G22" s="21" t="s">
        <v>126</v>
      </c>
    </row>
    <row r="23" spans="2:7" x14ac:dyDescent="0.15">
      <c r="B23" s="2" t="s">
        <v>124</v>
      </c>
      <c r="C23" s="23" t="e">
        <f>AVERAGE(C17:C22)</f>
        <v>#DIV/0!</v>
      </c>
      <c r="E23" s="2" t="e">
        <f>AVERAGE(E17:E22)</f>
        <v>#DIV/0!</v>
      </c>
    </row>
    <row r="24" spans="2:7" x14ac:dyDescent="0.15">
      <c r="B24" s="2" t="s">
        <v>125</v>
      </c>
      <c r="C24" s="23" t="e">
        <f>C23/E23</f>
        <v>#DIV/0!</v>
      </c>
    </row>
  </sheetData>
  <hyperlinks>
    <hyperlink ref="G22" r:id="rId1" xr:uid="{9E6A435E-C498-7541-B40F-36AFFF57C184}"/>
    <hyperlink ref="G21" r:id="rId2" xr:uid="{D04B3FCA-2E49-0B47-8500-10F008C36ED7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Acquisition-construction-costs</vt:lpstr>
      <vt:lpstr>Buy-and-hold</vt:lpstr>
      <vt:lpstr>Buy-and-sell</vt:lpstr>
      <vt:lpstr>Comparables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2021-01-29T12:01:26Z</dcterms:created>
  <dcterms:modified xsi:type="dcterms:W3CDTF">2021-09-07T14:27:16Z</dcterms:modified>
</cp:coreProperties>
</file>